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60" yWindow="980" windowWidth="14860" windowHeight="13760" tabRatio="500" activeTab="0"/>
  </bookViews>
  <sheets>
    <sheet name="WORKFORCE ESTIMATES" sheetId="1" r:id="rId1"/>
    <sheet name="SUPPORTING DATA" sheetId="2" r:id="rId2"/>
    <sheet name="TIME EFFECTS" sheetId="3" r:id="rId3"/>
  </sheets>
  <definedNames/>
  <calcPr fullCalcOnLoad="1"/>
</workbook>
</file>

<file path=xl/sharedStrings.xml><?xml version="1.0" encoding="utf-8"?>
<sst xmlns="http://schemas.openxmlformats.org/spreadsheetml/2006/main" count="74" uniqueCount="52">
  <si>
    <t>Min</t>
  </si>
  <si>
    <t>Max</t>
  </si>
  <si>
    <t>FTEs</t>
  </si>
  <si>
    <t>Months</t>
  </si>
  <si>
    <t>Hospital EHRs</t>
  </si>
  <si>
    <t>Community Health Networks</t>
  </si>
  <si>
    <t>TOTAL FTEs NEEDED</t>
  </si>
  <si>
    <t>N of physicians</t>
  </si>
  <si>
    <t>N of hospitals</t>
  </si>
  <si>
    <t>N of communities</t>
  </si>
  <si>
    <t>Practice Size</t>
  </si>
  <si>
    <t>Source 1</t>
  </si>
  <si>
    <t>Source 2</t>
  </si>
  <si>
    <t>Source 3</t>
  </si>
  <si>
    <t>Source 4</t>
  </si>
  <si>
    <t>Source 5</t>
  </si>
  <si>
    <t>up to 20</t>
  </si>
  <si>
    <t>Range</t>
  </si>
  <si>
    <t>Source 6</t>
  </si>
  <si>
    <t>Source 7</t>
  </si>
  <si>
    <t>Source 8</t>
  </si>
  <si>
    <t>FTE years</t>
  </si>
  <si>
    <t>FTE days/doc</t>
  </si>
  <si>
    <t>Supporting Data</t>
  </si>
  <si>
    <t>NHIN Workforce Assessment Tool</t>
  </si>
  <si>
    <t>FIXED ASSUMPTIONS</t>
  </si>
  <si>
    <t>Months/Year</t>
  </si>
  <si>
    <t>Business Days/Year</t>
  </si>
  <si>
    <t>VARIABLE ASSUMPTIONS</t>
  </si>
  <si>
    <t>FTE days per physician</t>
  </si>
  <si>
    <t>Avg Implementation Time</t>
  </si>
  <si>
    <t>Yrs to Implement NHIN</t>
  </si>
  <si>
    <t>FTE Years per hospital</t>
  </si>
  <si>
    <t>N Implementation Cycles</t>
  </si>
  <si>
    <t>Average</t>
  </si>
  <si>
    <t>months</t>
  </si>
  <si>
    <t>FTE Years per community</t>
  </si>
  <si>
    <t>PHYSICIAN OFFICE EHRs</t>
  </si>
  <si>
    <t>HOSPITAL EHRs</t>
  </si>
  <si>
    <t>COMMUNITY HEALTH NETWORKS</t>
  </si>
  <si>
    <t>FTE years per physician</t>
  </si>
  <si>
    <t>Avg N of FTEs</t>
  </si>
  <si>
    <t>AVERAGE</t>
  </si>
  <si>
    <t>Days</t>
  </si>
  <si>
    <t>STD DEVIATION</t>
  </si>
  <si>
    <t>Effects of changing time span for building NHIN</t>
  </si>
  <si>
    <t>Office EHRs</t>
  </si>
  <si>
    <t>Community HII</t>
  </si>
  <si>
    <t>FTEs NEEDED</t>
  </si>
  <si>
    <t>Years</t>
  </si>
  <si>
    <t>DEFAULT</t>
  </si>
  <si>
    <t>final version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</si>
</sst>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  <numFmt numFmtId="166" formatCode="0.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color indexed="14"/>
      <name val="Verdana"/>
      <family val="0"/>
    </font>
    <font>
      <sz val="11.5"/>
      <name val="Verdana"/>
      <family val="0"/>
    </font>
    <font>
      <b/>
      <sz val="12"/>
      <name val="Verdana"/>
      <family val="0"/>
    </font>
    <font>
      <b/>
      <sz val="11.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NHIN WORKFORCE vs. TIME SPAN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'TIME EFFECTS'!$B$6</c:f>
              <c:strCache>
                <c:ptCount val="1"/>
                <c:pt idx="0">
                  <c:v>Office EHRs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'TIME EFFECTS'!$A$7:$A$19</c:f>
              <c:numCache>
                <c:ptCount val="13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</c:numCache>
            </c:numRef>
          </c:xVal>
          <c:yVal>
            <c:numRef>
              <c:f>'TIME EFFECTS'!$B$7:$B$19</c:f>
              <c:numCache>
                <c:ptCount val="13"/>
                <c:pt idx="0">
                  <c:v>18948.619047619046</c:v>
                </c:pt>
                <c:pt idx="1">
                  <c:v>15158.895238095238</c:v>
                </c:pt>
                <c:pt idx="2">
                  <c:v>12632.412698412698</c:v>
                </c:pt>
                <c:pt idx="3">
                  <c:v>10827.78231292517</c:v>
                </c:pt>
                <c:pt idx="4">
                  <c:v>9474.309523809523</c:v>
                </c:pt>
                <c:pt idx="5">
                  <c:v>8421.608465608466</c:v>
                </c:pt>
                <c:pt idx="6">
                  <c:v>7579.447619047619</c:v>
                </c:pt>
                <c:pt idx="7">
                  <c:v>6890.406926406926</c:v>
                </c:pt>
                <c:pt idx="8">
                  <c:v>6316.206349206349</c:v>
                </c:pt>
                <c:pt idx="9">
                  <c:v>5830.344322344322</c:v>
                </c:pt>
                <c:pt idx="10">
                  <c:v>5413.891156462585</c:v>
                </c:pt>
                <c:pt idx="11">
                  <c:v>5052.965079365079</c:v>
                </c:pt>
                <c:pt idx="12">
                  <c:v>4737.1547619047615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'TIME EFFECTS'!$C$6</c:f>
              <c:strCache>
                <c:ptCount val="1"/>
                <c:pt idx="0">
                  <c:v>Hospital EHRs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'TIME EFFECTS'!$A$7:$A$19</c:f>
              <c:numCache>
                <c:ptCount val="13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</c:numCache>
            </c:numRef>
          </c:xVal>
          <c:yVal>
            <c:numRef>
              <c:f>'TIME EFFECTS'!$C$7:$C$19</c:f>
              <c:numCache>
                <c:ptCount val="13"/>
                <c:pt idx="0">
                  <c:v>85858.66666666667</c:v>
                </c:pt>
                <c:pt idx="1">
                  <c:v>85858.66666666667</c:v>
                </c:pt>
                <c:pt idx="2">
                  <c:v>42929.333333333336</c:v>
                </c:pt>
                <c:pt idx="3">
                  <c:v>42929.333333333336</c:v>
                </c:pt>
                <c:pt idx="4">
                  <c:v>42929.333333333336</c:v>
                </c:pt>
                <c:pt idx="5">
                  <c:v>28619.55555555556</c:v>
                </c:pt>
                <c:pt idx="6">
                  <c:v>28619.55555555556</c:v>
                </c:pt>
                <c:pt idx="7">
                  <c:v>28619.55555555556</c:v>
                </c:pt>
                <c:pt idx="8">
                  <c:v>21464.666666666668</c:v>
                </c:pt>
                <c:pt idx="9">
                  <c:v>21464.666666666668</c:v>
                </c:pt>
                <c:pt idx="10">
                  <c:v>21464.666666666668</c:v>
                </c:pt>
                <c:pt idx="11">
                  <c:v>17171.733333333334</c:v>
                </c:pt>
                <c:pt idx="12">
                  <c:v>17171.733333333334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'TIME EFFECTS'!$D$6</c:f>
              <c:strCache>
                <c:ptCount val="1"/>
                <c:pt idx="0">
                  <c:v>Community HII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'TIME EFFECTS'!$A$7:$A$19</c:f>
              <c:numCache>
                <c:ptCount val="13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</c:numCache>
            </c:numRef>
          </c:xVal>
          <c:yVal>
            <c:numRef>
              <c:f>'TIME EFFECTS'!$D$7:$D$19</c:f>
              <c:numCache>
                <c:ptCount val="13"/>
                <c:pt idx="0">
                  <c:v>1664.9999999999998</c:v>
                </c:pt>
                <c:pt idx="1">
                  <c:v>832.4999999999999</c:v>
                </c:pt>
                <c:pt idx="2">
                  <c:v>832.4999999999999</c:v>
                </c:pt>
                <c:pt idx="3">
                  <c:v>832.4999999999999</c:v>
                </c:pt>
                <c:pt idx="4">
                  <c:v>554.9999999999999</c:v>
                </c:pt>
                <c:pt idx="5">
                  <c:v>554.9999999999999</c:v>
                </c:pt>
                <c:pt idx="6">
                  <c:v>416.24999999999994</c:v>
                </c:pt>
                <c:pt idx="7">
                  <c:v>416.24999999999994</c:v>
                </c:pt>
                <c:pt idx="8">
                  <c:v>416.24999999999994</c:v>
                </c:pt>
                <c:pt idx="9">
                  <c:v>332.99999999999994</c:v>
                </c:pt>
                <c:pt idx="10">
                  <c:v>332.99999999999994</c:v>
                </c:pt>
                <c:pt idx="11">
                  <c:v>277.49999999999994</c:v>
                </c:pt>
                <c:pt idx="12">
                  <c:v>277.49999999999994</c:v>
                </c:pt>
              </c:numCache>
            </c:numRef>
          </c:yVal>
          <c:smooth val="0"/>
        </c:ser>
        <c:axId val="24377639"/>
        <c:axId val="18072160"/>
      </c:scatterChart>
      <c:valAx>
        <c:axId val="24377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Verdana"/>
                    <a:ea typeface="Verdana"/>
                    <a:cs typeface="Verdana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072160"/>
        <c:crosses val="autoZero"/>
        <c:crossBetween val="midCat"/>
        <c:dispUnits/>
        <c:majorUnit val="1"/>
        <c:minorUnit val="1"/>
      </c:valAx>
      <c:valAx>
        <c:axId val="18072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Verdana"/>
                    <a:ea typeface="Verdana"/>
                    <a:cs typeface="Verdana"/>
                  </a:rPr>
                  <a:t>FTEs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77639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21</xdr:row>
      <xdr:rowOff>0</xdr:rowOff>
    </xdr:from>
    <xdr:to>
      <xdr:col>4</xdr:col>
      <xdr:colOff>1771650</xdr:colOff>
      <xdr:row>47</xdr:row>
      <xdr:rowOff>0</xdr:rowOff>
    </xdr:to>
    <xdr:graphicFrame>
      <xdr:nvGraphicFramePr>
        <xdr:cNvPr id="1" name="Chart 4"/>
        <xdr:cNvGraphicFramePr/>
      </xdr:nvGraphicFramePr>
      <xdr:xfrm>
        <a:off x="76200" y="3400425"/>
        <a:ext cx="51339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">
      <selection activeCell="D1" sqref="D1"/>
    </sheetView>
  </sheetViews>
  <sheetFormatPr defaultColWidth="11.00390625" defaultRowHeight="12.75"/>
  <cols>
    <col min="1" max="1" width="24.125" style="0" customWidth="1"/>
    <col min="2" max="2" width="21.875" style="0" customWidth="1"/>
  </cols>
  <sheetData>
    <row r="1" spans="1:4" ht="12.75">
      <c r="A1" s="1" t="s">
        <v>24</v>
      </c>
      <c r="C1" s="7">
        <v>37887</v>
      </c>
      <c r="D1" t="s">
        <v>51</v>
      </c>
    </row>
    <row r="3" spans="1:3" ht="12.75">
      <c r="A3" s="1" t="s">
        <v>25</v>
      </c>
      <c r="B3" t="s">
        <v>27</v>
      </c>
      <c r="C3">
        <v>250</v>
      </c>
    </row>
    <row r="4" spans="2:3" ht="12.75">
      <c r="B4" t="s">
        <v>26</v>
      </c>
      <c r="C4">
        <v>12</v>
      </c>
    </row>
    <row r="7" spans="1:3" ht="12.75">
      <c r="A7" s="1" t="s">
        <v>28</v>
      </c>
      <c r="B7" s="1" t="s">
        <v>31</v>
      </c>
      <c r="C7">
        <v>5</v>
      </c>
    </row>
    <row r="8" spans="2:3" ht="12.75">
      <c r="B8" s="1" t="s">
        <v>7</v>
      </c>
      <c r="C8" s="2">
        <v>400000</v>
      </c>
    </row>
    <row r="9" spans="2:3" ht="12.75">
      <c r="B9" s="1" t="s">
        <v>8</v>
      </c>
      <c r="C9" s="2">
        <v>4000</v>
      </c>
    </row>
    <row r="10" spans="2:3" ht="12.75">
      <c r="B10" s="1" t="s">
        <v>9</v>
      </c>
      <c r="C10">
        <v>300</v>
      </c>
    </row>
    <row r="11" ht="12.75">
      <c r="B11" s="1"/>
    </row>
    <row r="12" spans="2:3" ht="12.75">
      <c r="B12" s="1"/>
      <c r="C12" s="2"/>
    </row>
    <row r="13" ht="12.75">
      <c r="A13" s="5" t="s">
        <v>37</v>
      </c>
    </row>
    <row r="14" spans="1:4" ht="12.75">
      <c r="A14" s="1"/>
      <c r="B14" s="3" t="s">
        <v>0</v>
      </c>
      <c r="C14" s="3" t="s">
        <v>34</v>
      </c>
      <c r="D14" s="3" t="s">
        <v>1</v>
      </c>
    </row>
    <row r="17" spans="1:4" ht="12.75">
      <c r="A17" t="s">
        <v>29</v>
      </c>
      <c r="B17" s="6">
        <f>C17-'SUPPORTING DATA'!B17</f>
        <v>12.008119683129602</v>
      </c>
      <c r="C17" s="6">
        <f>'SUPPORTING DATA'!B16</f>
        <v>23.68577380952381</v>
      </c>
      <c r="D17" s="6">
        <f>C17+'SUPPORTING DATA'!B17</f>
        <v>35.36342793591802</v>
      </c>
    </row>
    <row r="18" spans="1:4" ht="12.75">
      <c r="A18" t="s">
        <v>40</v>
      </c>
      <c r="B18" s="6">
        <f>B17/$C$3</f>
        <v>0.048032478732518404</v>
      </c>
      <c r="C18" s="6">
        <f>C17/$C$3</f>
        <v>0.09474309523809524</v>
      </c>
      <c r="D18" s="6">
        <f>D17/$C$3</f>
        <v>0.14145371174367208</v>
      </c>
    </row>
    <row r="20" spans="1:4" ht="12.75">
      <c r="A20" t="s">
        <v>6</v>
      </c>
      <c r="B20" s="2">
        <f>$C$8/($C$3/B17*$C$7)</f>
        <v>3842.5982986014724</v>
      </c>
      <c r="C20" s="2">
        <f>$C$8/($C$3/C17*$C$7)</f>
        <v>7579.447619047619</v>
      </c>
      <c r="D20" s="2">
        <f>$C$8/($C$3/D17*$C$7)</f>
        <v>11316.296939493765</v>
      </c>
    </row>
    <row r="23" ht="12.75">
      <c r="A23" s="5" t="s">
        <v>38</v>
      </c>
    </row>
    <row r="24" spans="2:4" ht="12.75">
      <c r="B24" t="s">
        <v>30</v>
      </c>
      <c r="C24">
        <f>'SUPPORTING DATA'!D27</f>
        <v>17.3</v>
      </c>
      <c r="D24" t="s">
        <v>35</v>
      </c>
    </row>
    <row r="25" spans="2:3" ht="12.75">
      <c r="B25" t="s">
        <v>33</v>
      </c>
      <c r="C25">
        <f>INT($C$7*$C$4/C24)</f>
        <v>3</v>
      </c>
    </row>
    <row r="27" ht="12.75">
      <c r="A27" s="1"/>
    </row>
    <row r="28" ht="12.75">
      <c r="C28" s="3" t="s">
        <v>34</v>
      </c>
    </row>
    <row r="29" spans="1:3" ht="12.75">
      <c r="A29" t="s">
        <v>32</v>
      </c>
      <c r="C29" s="4">
        <f>'SUPPORTING DATA'!B27</f>
        <v>21.46466666666667</v>
      </c>
    </row>
    <row r="31" spans="1:3" ht="12.75">
      <c r="A31" t="s">
        <v>6</v>
      </c>
      <c r="C31" s="2">
        <f>C29*C9/C25</f>
        <v>28619.55555555556</v>
      </c>
    </row>
    <row r="34" ht="12.75">
      <c r="A34" s="5" t="s">
        <v>39</v>
      </c>
    </row>
    <row r="35" spans="2:4" ht="12.75">
      <c r="B35" t="s">
        <v>30</v>
      </c>
      <c r="C35">
        <f>'SUPPORTING DATA'!D36</f>
        <v>15</v>
      </c>
      <c r="D35" t="s">
        <v>35</v>
      </c>
    </row>
    <row r="36" spans="2:3" ht="12.75">
      <c r="B36" t="s">
        <v>33</v>
      </c>
      <c r="C36">
        <f>INT($C$7*$C$4/C35)</f>
        <v>4</v>
      </c>
    </row>
    <row r="38" ht="12.75">
      <c r="C38" s="3" t="s">
        <v>34</v>
      </c>
    </row>
    <row r="39" spans="1:3" ht="12.75">
      <c r="A39" t="s">
        <v>36</v>
      </c>
      <c r="C39">
        <f>'SUPPORTING DATA'!B36</f>
        <v>5.549999999999999</v>
      </c>
    </row>
    <row r="41" spans="1:3" ht="12.75">
      <c r="A41" t="s">
        <v>6</v>
      </c>
      <c r="C41" s="2">
        <f>C39*(C10/C36)</f>
        <v>416.24999999999994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A1" sqref="A1"/>
    </sheetView>
  </sheetViews>
  <sheetFormatPr defaultColWidth="11.00390625" defaultRowHeight="12.75"/>
  <cols>
    <col min="1" max="1" width="13.00390625" style="0" customWidth="1"/>
    <col min="2" max="2" width="12.375" style="0" customWidth="1"/>
    <col min="5" max="5" width="11.875" style="0" customWidth="1"/>
  </cols>
  <sheetData>
    <row r="1" ht="12.75">
      <c r="A1" s="1" t="s">
        <v>24</v>
      </c>
    </row>
    <row r="2" ht="12.75">
      <c r="A2" s="1"/>
    </row>
    <row r="3" ht="12.75">
      <c r="A3" t="s">
        <v>23</v>
      </c>
    </row>
    <row r="5" ht="12.75">
      <c r="A5" s="1" t="str">
        <f>'WORKFORCE ESTIMATES'!A13</f>
        <v>PHYSICIAN OFFICE EHRs</v>
      </c>
    </row>
    <row r="6" spans="2:6" ht="12.75">
      <c r="B6" s="3" t="s">
        <v>22</v>
      </c>
      <c r="C6" s="3" t="s">
        <v>2</v>
      </c>
      <c r="D6" s="3" t="s">
        <v>43</v>
      </c>
      <c r="E6" s="3" t="s">
        <v>10</v>
      </c>
      <c r="F6" s="3" t="s">
        <v>17</v>
      </c>
    </row>
    <row r="7" spans="1:6" ht="12.75">
      <c r="A7" t="s">
        <v>11</v>
      </c>
      <c r="B7" s="8">
        <f>C7*D7/E7</f>
        <v>14.91</v>
      </c>
      <c r="C7">
        <v>2.13</v>
      </c>
      <c r="D7">
        <v>7</v>
      </c>
      <c r="E7">
        <v>1</v>
      </c>
      <c r="F7" t="s">
        <v>16</v>
      </c>
    </row>
    <row r="8" spans="1:5" ht="12.75">
      <c r="A8" t="s">
        <v>12</v>
      </c>
      <c r="B8" s="8">
        <f aca="true" t="shared" si="0" ref="B8:B14">C8*D8/E8</f>
        <v>23.1875</v>
      </c>
      <c r="C8">
        <v>3.71</v>
      </c>
      <c r="D8">
        <v>125</v>
      </c>
      <c r="E8">
        <v>20</v>
      </c>
    </row>
    <row r="9" spans="1:5" ht="12.75">
      <c r="A9" t="s">
        <v>13</v>
      </c>
      <c r="B9" s="8">
        <f t="shared" si="0"/>
        <v>29.208333333333332</v>
      </c>
      <c r="C9">
        <v>7.01</v>
      </c>
      <c r="D9">
        <v>250</v>
      </c>
      <c r="E9">
        <v>60</v>
      </c>
    </row>
    <row r="10" spans="1:5" ht="12.75">
      <c r="A10" t="s">
        <v>14</v>
      </c>
      <c r="B10" s="8">
        <f t="shared" si="0"/>
        <v>7.875</v>
      </c>
      <c r="C10">
        <v>3</v>
      </c>
      <c r="D10">
        <v>10.5</v>
      </c>
      <c r="E10">
        <v>4</v>
      </c>
    </row>
    <row r="11" spans="1:6" ht="12.75">
      <c r="A11" t="s">
        <v>15</v>
      </c>
      <c r="B11" s="8">
        <f t="shared" si="0"/>
        <v>32.1625</v>
      </c>
      <c r="C11">
        <v>7.75</v>
      </c>
      <c r="D11">
        <v>83</v>
      </c>
      <c r="E11">
        <v>20</v>
      </c>
      <c r="F11" t="s">
        <v>16</v>
      </c>
    </row>
    <row r="12" spans="1:5" ht="12.75">
      <c r="A12" t="s">
        <v>18</v>
      </c>
      <c r="B12" s="8">
        <f t="shared" si="0"/>
        <v>40</v>
      </c>
      <c r="C12">
        <v>6</v>
      </c>
      <c r="D12">
        <v>20</v>
      </c>
      <c r="E12">
        <v>3</v>
      </c>
    </row>
    <row r="13" spans="1:5" ht="12.75">
      <c r="A13" t="s">
        <v>19</v>
      </c>
      <c r="B13" s="8">
        <f t="shared" si="0"/>
        <v>10</v>
      </c>
      <c r="C13">
        <v>2</v>
      </c>
      <c r="D13">
        <v>15</v>
      </c>
      <c r="E13">
        <v>3</v>
      </c>
    </row>
    <row r="14" spans="1:5" ht="12.75">
      <c r="A14" t="s">
        <v>20</v>
      </c>
      <c r="B14" s="8">
        <f t="shared" si="0"/>
        <v>32.142857142857146</v>
      </c>
      <c r="C14">
        <v>4.5</v>
      </c>
      <c r="D14">
        <v>500</v>
      </c>
      <c r="E14">
        <v>70</v>
      </c>
    </row>
    <row r="15" ht="12.75">
      <c r="B15" s="8"/>
    </row>
    <row r="16" spans="1:2" ht="12.75">
      <c r="A16" t="s">
        <v>42</v>
      </c>
      <c r="B16" s="8">
        <f>AVERAGE(B7:B14)</f>
        <v>23.68577380952381</v>
      </c>
    </row>
    <row r="17" spans="1:2" ht="12.75">
      <c r="A17" t="s">
        <v>44</v>
      </c>
      <c r="B17" s="8">
        <f>STDEV(B7:B14)</f>
        <v>11.677654126394208</v>
      </c>
    </row>
    <row r="20" ht="12.75">
      <c r="A20" s="1" t="str">
        <f>'WORKFORCE ESTIMATES'!A23</f>
        <v>HOSPITAL EHRs</v>
      </c>
    </row>
    <row r="21" spans="2:4" ht="12.75">
      <c r="B21" s="3" t="s">
        <v>21</v>
      </c>
      <c r="C21" s="3" t="s">
        <v>2</v>
      </c>
      <c r="D21" s="3" t="s">
        <v>3</v>
      </c>
    </row>
    <row r="22" spans="1:4" ht="12.75">
      <c r="A22" t="s">
        <v>11</v>
      </c>
      <c r="B22">
        <f>C22*D22/'WORKFORCE ESTIMATES'!$C$4</f>
        <v>21.850000000000005</v>
      </c>
      <c r="C22">
        <v>21.85</v>
      </c>
      <c r="D22">
        <v>12</v>
      </c>
    </row>
    <row r="23" spans="1:4" ht="12.75">
      <c r="A23" t="s">
        <v>12</v>
      </c>
      <c r="B23">
        <f>C23*D23/'WORKFORCE ESTIMATES'!$C$4</f>
        <v>19.2</v>
      </c>
      <c r="C23">
        <v>12.8</v>
      </c>
      <c r="D23">
        <v>18</v>
      </c>
    </row>
    <row r="24" spans="1:4" ht="12.75">
      <c r="A24" t="s">
        <v>13</v>
      </c>
      <c r="B24">
        <f>C24*D24/'WORKFORCE ESTIMATES'!$C$4</f>
        <v>28</v>
      </c>
      <c r="C24">
        <v>14</v>
      </c>
      <c r="D24">
        <v>24</v>
      </c>
    </row>
    <row r="25" spans="1:4" ht="12.75">
      <c r="A25" t="s">
        <v>14</v>
      </c>
      <c r="B25" s="4">
        <f>C25*D25/'WORKFORCE ESTIMATES'!$C$4</f>
        <v>16.808666666666664</v>
      </c>
      <c r="C25">
        <v>13.27</v>
      </c>
      <c r="D25">
        <v>15.2</v>
      </c>
    </row>
    <row r="26" ht="12.75">
      <c r="E26" t="s">
        <v>41</v>
      </c>
    </row>
    <row r="27" spans="1:5" ht="12.75">
      <c r="A27" t="s">
        <v>42</v>
      </c>
      <c r="B27" s="4">
        <f>AVERAGE(B22:B25)</f>
        <v>21.46466666666667</v>
      </c>
      <c r="D27">
        <f>AVERAGE(D22:D25)</f>
        <v>17.3</v>
      </c>
      <c r="E27" s="4">
        <f>B27/(D27/'WORKFORCE ESTIMATES'!$C$4)</f>
        <v>14.888786127167633</v>
      </c>
    </row>
    <row r="31" ht="12.75">
      <c r="A31" s="1" t="s">
        <v>5</v>
      </c>
    </row>
    <row r="32" spans="2:4" ht="12.75">
      <c r="B32" s="3" t="s">
        <v>21</v>
      </c>
      <c r="C32" s="3" t="s">
        <v>2</v>
      </c>
      <c r="D32" s="3" t="s">
        <v>3</v>
      </c>
    </row>
    <row r="33" spans="1:4" ht="12.75">
      <c r="A33" t="s">
        <v>11</v>
      </c>
      <c r="B33">
        <f>C33*D33/'WORKFORCE ESTIMATES'!$C$4</f>
        <v>6.599999999999999</v>
      </c>
      <c r="C33">
        <v>6.6</v>
      </c>
      <c r="D33">
        <v>12</v>
      </c>
    </row>
    <row r="34" spans="1:4" ht="12.75">
      <c r="A34" t="s">
        <v>12</v>
      </c>
      <c r="B34">
        <f>C34*D34/'WORKFORCE ESTIMATES'!$C$4</f>
        <v>4.5</v>
      </c>
      <c r="C34">
        <v>3</v>
      </c>
      <c r="D34">
        <v>18</v>
      </c>
    </row>
    <row r="36" spans="1:4" ht="12.75">
      <c r="A36" t="s">
        <v>42</v>
      </c>
      <c r="B36">
        <f>AVERAGE(B33:B34)</f>
        <v>5.549999999999999</v>
      </c>
      <c r="D36">
        <f>AVERAGE(D33:D34)</f>
        <v>15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E16" sqref="E16"/>
    </sheetView>
  </sheetViews>
  <sheetFormatPr defaultColWidth="11.00390625" defaultRowHeight="12.75"/>
  <cols>
    <col min="3" max="3" width="12.125" style="0" customWidth="1"/>
    <col min="5" max="5" width="25.375" style="0" customWidth="1"/>
    <col min="6" max="6" width="17.25390625" style="0" customWidth="1"/>
  </cols>
  <sheetData>
    <row r="1" ht="12.75">
      <c r="A1" s="1" t="s">
        <v>24</v>
      </c>
    </row>
    <row r="3" ht="12.75">
      <c r="A3" t="s">
        <v>45</v>
      </c>
    </row>
    <row r="5" ht="12.75">
      <c r="C5" s="1" t="s">
        <v>48</v>
      </c>
    </row>
    <row r="6" spans="1:4" ht="12.75">
      <c r="A6" s="1" t="s">
        <v>49</v>
      </c>
      <c r="B6" t="s">
        <v>46</v>
      </c>
      <c r="C6" t="s">
        <v>4</v>
      </c>
      <c r="D6" t="s">
        <v>47</v>
      </c>
    </row>
    <row r="7" spans="1:4" ht="12.75">
      <c r="A7" s="9">
        <v>2</v>
      </c>
      <c r="B7" s="2">
        <f>'WORKFORCE ESTIMATES'!$C$8/('WORKFORCE ESTIMATES'!$C$3/'WORKFORCE ESTIMATES'!$C$17*A7)</f>
        <v>18948.619047619046</v>
      </c>
      <c r="C7" s="2">
        <f>'WORKFORCE ESTIMATES'!$C$29*'WORKFORCE ESTIMATES'!$C$9/(INT(A7*'WORKFORCE ESTIMATES'!$C$4/'WORKFORCE ESTIMATES'!$C$24))</f>
        <v>85858.66666666667</v>
      </c>
      <c r="D7" s="2">
        <f>'WORKFORCE ESTIMATES'!$C$39*'WORKFORCE ESTIMATES'!$C$10/(INT(A7*'WORKFORCE ESTIMATES'!$C$4/'WORKFORCE ESTIMATES'!$C$35))</f>
        <v>1664.9999999999998</v>
      </c>
    </row>
    <row r="8" spans="1:4" ht="12.75">
      <c r="A8" s="9">
        <v>2.5</v>
      </c>
      <c r="B8" s="2">
        <f>'WORKFORCE ESTIMATES'!$C$8/('WORKFORCE ESTIMATES'!$C$3/'WORKFORCE ESTIMATES'!$C$17*A8)</f>
        <v>15158.895238095238</v>
      </c>
      <c r="C8" s="2">
        <f>'WORKFORCE ESTIMATES'!$C$29*'WORKFORCE ESTIMATES'!$C$9/(INT(A8*'WORKFORCE ESTIMATES'!$C$4/'WORKFORCE ESTIMATES'!$C$24))</f>
        <v>85858.66666666667</v>
      </c>
      <c r="D8" s="2">
        <f>'WORKFORCE ESTIMATES'!$C$39*'WORKFORCE ESTIMATES'!$C$10/(INT(A8*'WORKFORCE ESTIMATES'!$C$4/'WORKFORCE ESTIMATES'!$C$35))</f>
        <v>832.4999999999999</v>
      </c>
    </row>
    <row r="9" spans="1:4" ht="12.75">
      <c r="A9" s="9">
        <v>3</v>
      </c>
      <c r="B9" s="2">
        <f>'WORKFORCE ESTIMATES'!$C$8/('WORKFORCE ESTIMATES'!$C$3/'WORKFORCE ESTIMATES'!$C$17*A9)</f>
        <v>12632.412698412698</v>
      </c>
      <c r="C9" s="2">
        <f>'WORKFORCE ESTIMATES'!$C$29*'WORKFORCE ESTIMATES'!$C$9/(INT(A9*'WORKFORCE ESTIMATES'!$C$4/'WORKFORCE ESTIMATES'!$C$24))</f>
        <v>42929.333333333336</v>
      </c>
      <c r="D9" s="2">
        <f>'WORKFORCE ESTIMATES'!$C$39*'WORKFORCE ESTIMATES'!$C$10/(INT(A9*'WORKFORCE ESTIMATES'!$C$4/'WORKFORCE ESTIMATES'!$C$35))</f>
        <v>832.4999999999999</v>
      </c>
    </row>
    <row r="10" spans="1:4" ht="12.75">
      <c r="A10" s="9">
        <v>3.5</v>
      </c>
      <c r="B10" s="2">
        <f>'WORKFORCE ESTIMATES'!$C$8/('WORKFORCE ESTIMATES'!$C$3/'WORKFORCE ESTIMATES'!$C$17*A10)</f>
        <v>10827.78231292517</v>
      </c>
      <c r="C10" s="2">
        <f>'WORKFORCE ESTIMATES'!$C$29*'WORKFORCE ESTIMATES'!$C$9/(INT(A10*'WORKFORCE ESTIMATES'!$C$4/'WORKFORCE ESTIMATES'!$C$24))</f>
        <v>42929.333333333336</v>
      </c>
      <c r="D10" s="2">
        <f>'WORKFORCE ESTIMATES'!$C$39*'WORKFORCE ESTIMATES'!$C$10/(INT(A10*'WORKFORCE ESTIMATES'!$C$4/'WORKFORCE ESTIMATES'!$C$35))</f>
        <v>832.4999999999999</v>
      </c>
    </row>
    <row r="11" spans="1:4" ht="12.75">
      <c r="A11" s="9">
        <v>4</v>
      </c>
      <c r="B11" s="2">
        <f>'WORKFORCE ESTIMATES'!$C$8/('WORKFORCE ESTIMATES'!$C$3/'WORKFORCE ESTIMATES'!$C$17*A11)</f>
        <v>9474.309523809523</v>
      </c>
      <c r="C11" s="2">
        <f>'WORKFORCE ESTIMATES'!$C$29*'WORKFORCE ESTIMATES'!$C$9/(INT(A11*'WORKFORCE ESTIMATES'!$C$4/'WORKFORCE ESTIMATES'!$C$24))</f>
        <v>42929.333333333336</v>
      </c>
      <c r="D11" s="2">
        <f>'WORKFORCE ESTIMATES'!$C$39*'WORKFORCE ESTIMATES'!$C$10/(INT(A11*'WORKFORCE ESTIMATES'!$C$4/'WORKFORCE ESTIMATES'!$C$35))</f>
        <v>554.9999999999999</v>
      </c>
    </row>
    <row r="12" spans="1:4" ht="12.75">
      <c r="A12" s="9">
        <v>4.5</v>
      </c>
      <c r="B12" s="2">
        <f>'WORKFORCE ESTIMATES'!$C$8/('WORKFORCE ESTIMATES'!$C$3/'WORKFORCE ESTIMATES'!$C$17*A12)</f>
        <v>8421.608465608466</v>
      </c>
      <c r="C12" s="2">
        <f>'WORKFORCE ESTIMATES'!$C$29*'WORKFORCE ESTIMATES'!$C$9/(INT(A12*'WORKFORCE ESTIMATES'!$C$4/'WORKFORCE ESTIMATES'!$C$24))</f>
        <v>28619.55555555556</v>
      </c>
      <c r="D12" s="2">
        <f>'WORKFORCE ESTIMATES'!$C$39*'WORKFORCE ESTIMATES'!$C$10/(INT(A12*'WORKFORCE ESTIMATES'!$C$4/'WORKFORCE ESTIMATES'!$C$35))</f>
        <v>554.9999999999999</v>
      </c>
    </row>
    <row r="13" spans="1:5" ht="12.75">
      <c r="A13" s="10">
        <v>5</v>
      </c>
      <c r="B13" s="11">
        <f>'WORKFORCE ESTIMATES'!$C$8/('WORKFORCE ESTIMATES'!$C$3/'WORKFORCE ESTIMATES'!$C$17*A13)</f>
        <v>7579.447619047619</v>
      </c>
      <c r="C13" s="11">
        <f>'WORKFORCE ESTIMATES'!$C$29*'WORKFORCE ESTIMATES'!$C$9/(INT(A13*'WORKFORCE ESTIMATES'!$C$4/'WORKFORCE ESTIMATES'!$C$24))</f>
        <v>28619.55555555556</v>
      </c>
      <c r="D13" s="11">
        <f>'WORKFORCE ESTIMATES'!$C$39*'WORKFORCE ESTIMATES'!$C$10/(INT(A13*'WORKFORCE ESTIMATES'!$C$4/'WORKFORCE ESTIMATES'!$C$35))</f>
        <v>416.24999999999994</v>
      </c>
      <c r="E13" t="s">
        <v>50</v>
      </c>
    </row>
    <row r="14" spans="1:4" ht="12.75">
      <c r="A14" s="9">
        <v>5.5</v>
      </c>
      <c r="B14" s="2">
        <f>'WORKFORCE ESTIMATES'!$C$8/('WORKFORCE ESTIMATES'!$C$3/'WORKFORCE ESTIMATES'!$C$17*A14)</f>
        <v>6890.406926406926</v>
      </c>
      <c r="C14" s="2">
        <f>'WORKFORCE ESTIMATES'!$C$29*'WORKFORCE ESTIMATES'!$C$9/(INT(A14*'WORKFORCE ESTIMATES'!$C$4/'WORKFORCE ESTIMATES'!$C$24))</f>
        <v>28619.55555555556</v>
      </c>
      <c r="D14" s="2">
        <f>'WORKFORCE ESTIMATES'!$C$39*'WORKFORCE ESTIMATES'!$C$10/(INT(A14*'WORKFORCE ESTIMATES'!$C$4/'WORKFORCE ESTIMATES'!$C$35))</f>
        <v>416.24999999999994</v>
      </c>
    </row>
    <row r="15" spans="1:4" ht="12.75">
      <c r="A15" s="9">
        <v>6</v>
      </c>
      <c r="B15" s="2">
        <f>'WORKFORCE ESTIMATES'!$C$8/('WORKFORCE ESTIMATES'!$C$3/'WORKFORCE ESTIMATES'!$C$17*A15)</f>
        <v>6316.206349206349</v>
      </c>
      <c r="C15" s="2">
        <f>'WORKFORCE ESTIMATES'!$C$29*'WORKFORCE ESTIMATES'!$C$9/(INT(A15*'WORKFORCE ESTIMATES'!$C$4/'WORKFORCE ESTIMATES'!$C$24))</f>
        <v>21464.666666666668</v>
      </c>
      <c r="D15" s="2">
        <f>'WORKFORCE ESTIMATES'!$C$39*'WORKFORCE ESTIMATES'!$C$10/(INT(A15*'WORKFORCE ESTIMATES'!$C$4/'WORKFORCE ESTIMATES'!$C$35))</f>
        <v>416.24999999999994</v>
      </c>
    </row>
    <row r="16" spans="1:4" ht="12.75">
      <c r="A16" s="9">
        <v>6.5</v>
      </c>
      <c r="B16" s="2">
        <f>'WORKFORCE ESTIMATES'!$C$8/('WORKFORCE ESTIMATES'!$C$3/'WORKFORCE ESTIMATES'!$C$17*A16)</f>
        <v>5830.344322344322</v>
      </c>
      <c r="C16" s="2">
        <f>'WORKFORCE ESTIMATES'!$C$29*'WORKFORCE ESTIMATES'!$C$9/(INT(A16*'WORKFORCE ESTIMATES'!$C$4/'WORKFORCE ESTIMATES'!$C$24))</f>
        <v>21464.666666666668</v>
      </c>
      <c r="D16" s="2">
        <f>'WORKFORCE ESTIMATES'!$C$39*'WORKFORCE ESTIMATES'!$C$10/(INT(A16*'WORKFORCE ESTIMATES'!$C$4/'WORKFORCE ESTIMATES'!$C$35))</f>
        <v>332.99999999999994</v>
      </c>
    </row>
    <row r="17" spans="1:4" ht="12.75">
      <c r="A17" s="9">
        <v>7</v>
      </c>
      <c r="B17" s="2">
        <f>'WORKFORCE ESTIMATES'!$C$8/('WORKFORCE ESTIMATES'!$C$3/'WORKFORCE ESTIMATES'!$C$17*A17)</f>
        <v>5413.891156462585</v>
      </c>
      <c r="C17" s="2">
        <f>'WORKFORCE ESTIMATES'!$C$29*'WORKFORCE ESTIMATES'!$C$9/(INT(A17*'WORKFORCE ESTIMATES'!$C$4/'WORKFORCE ESTIMATES'!$C$24))</f>
        <v>21464.666666666668</v>
      </c>
      <c r="D17" s="2">
        <f>'WORKFORCE ESTIMATES'!$C$39*'WORKFORCE ESTIMATES'!$C$10/(INT(A17*'WORKFORCE ESTIMATES'!$C$4/'WORKFORCE ESTIMATES'!$C$35))</f>
        <v>332.99999999999994</v>
      </c>
    </row>
    <row r="18" spans="1:4" ht="12.75">
      <c r="A18" s="9">
        <v>7.5</v>
      </c>
      <c r="B18" s="2">
        <f>'WORKFORCE ESTIMATES'!$C$8/('WORKFORCE ESTIMATES'!$C$3/'WORKFORCE ESTIMATES'!$C$17*A18)</f>
        <v>5052.965079365079</v>
      </c>
      <c r="C18" s="2">
        <f>'WORKFORCE ESTIMATES'!$C$29*'WORKFORCE ESTIMATES'!$C$9/(INT(A18*'WORKFORCE ESTIMATES'!$C$4/'WORKFORCE ESTIMATES'!$C$24))</f>
        <v>17171.733333333334</v>
      </c>
      <c r="D18" s="2">
        <f>'WORKFORCE ESTIMATES'!$C$39*'WORKFORCE ESTIMATES'!$C$10/(INT(A18*'WORKFORCE ESTIMATES'!$C$4/'WORKFORCE ESTIMATES'!$C$35))</f>
        <v>277.49999999999994</v>
      </c>
    </row>
    <row r="19" spans="1:4" ht="12.75">
      <c r="A19" s="9">
        <v>8</v>
      </c>
      <c r="B19" s="2">
        <f>'WORKFORCE ESTIMATES'!$C$8/('WORKFORCE ESTIMATES'!$C$3/'WORKFORCE ESTIMATES'!$C$17*A19)</f>
        <v>4737.1547619047615</v>
      </c>
      <c r="C19" s="2">
        <f>'WORKFORCE ESTIMATES'!$C$29*'WORKFORCE ESTIMATES'!$C$9/(INT(A19*'WORKFORCE ESTIMATES'!$C$4/'WORKFORCE ESTIMATES'!$C$24))</f>
        <v>17171.733333333334</v>
      </c>
      <c r="D19" s="2">
        <f>'WORKFORCE ESTIMATES'!$C$39*'WORKFORCE ESTIMATES'!$C$10/(INT(A19*'WORKFORCE ESTIMATES'!$C$4/'WORKFORCE ESTIMATES'!$C$35))</f>
        <v>277.49999999999994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NHII Advisors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Yasnoff, MD, PhD</dc:creator>
  <cp:keywords/>
  <dc:description/>
  <cp:lastModifiedBy>William Yasnoff, MD, PhD</cp:lastModifiedBy>
  <dcterms:created xsi:type="dcterms:W3CDTF">2006-10-31T14:11:49Z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